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DXGDi25K2TphZl3rN/gA4SEt3n46VsqLmPbnWeKyVI="/>
    </ext>
  </extLst>
</workbook>
</file>

<file path=xl/sharedStrings.xml><?xml version="1.0" encoding="utf-8"?>
<sst xmlns="http://schemas.openxmlformats.org/spreadsheetml/2006/main" count="16" uniqueCount="16">
  <si>
    <t>FY2025-26 UCSB CAREER TRACKS SALARY GRADE STRUCTURE (PSS and MSP) - EFFECTIVE JULY 1, 2025</t>
  </si>
  <si>
    <t>CT Grade</t>
  </si>
  <si>
    <t>Annual 
MIN</t>
  </si>
  <si>
    <t>Annual 
MID</t>
  </si>
  <si>
    <t>Annual 
MAX</t>
  </si>
  <si>
    <t>Monthly 
MIN</t>
  </si>
  <si>
    <t>Monthly 
MID</t>
  </si>
  <si>
    <t>Monthly MAX</t>
  </si>
  <si>
    <t>Hourly MIN</t>
  </si>
  <si>
    <t>Hourly MID</t>
  </si>
  <si>
    <t>Hourly MAX</t>
  </si>
  <si>
    <t>Annual 25th Percentile</t>
  </si>
  <si>
    <t>Monthly 25th Percentile</t>
  </si>
  <si>
    <t>Range Spread</t>
  </si>
  <si>
    <t>The range structure was adjusted by 3% on average.</t>
  </si>
  <si>
    <t>This structure is based on a 115% labor market geographic differential.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</si>
</sst>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"/>
    <numFmt numFmtId="166" formatCode="&quot;$&quot;#,##0_);[Red]\(&quot;$&quot;#,##0\)"/>
    <numFmt numFmtId="167" formatCode="&quot;$&quot;#,##0_);\(&quot;$&quot;#,##0\)"/>
  </numFmts>
  <fonts count="8">
    <font>
      <sz val="10.0"/>
      <color rgb="FF000000"/>
      <name val="Arial"/>
      <scheme val="minor"/>
    </font>
    <font>
      <b/>
      <sz val="14.0"/>
      <color theme="1"/>
      <name val="Calibri"/>
    </font>
    <font>
      <b/>
      <sz val="11.0"/>
      <color theme="1"/>
      <name val="Calibri"/>
    </font>
    <font>
      <b/>
      <i/>
      <sz val="11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i/>
      <sz val="9.0"/>
      <color theme="1"/>
      <name val="Calibri"/>
    </font>
    <font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B4A7D6"/>
        <bgColor rgb="FFB4A7D6"/>
      </patternFill>
    </fill>
    <fill>
      <patternFill patternType="solid">
        <fgColor rgb="FFD0CECE"/>
        <bgColor rgb="FFD0CECE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2F2F2"/>
        <bgColor rgb="FFF2F2F2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readingOrder="0" shrinkToFit="0" vertical="top" wrapText="0"/>
    </xf>
    <xf borderId="1" fillId="2" fontId="2" numFmtId="0" xfId="0" applyAlignment="1" applyBorder="1" applyFill="1" applyFont="1">
      <alignment horizontal="center" shrinkToFit="0" wrapText="1"/>
    </xf>
    <xf borderId="1" fillId="3" fontId="2" numFmtId="0" xfId="0" applyAlignment="1" applyBorder="1" applyFill="1" applyFont="1">
      <alignment horizontal="center" shrinkToFit="0" wrapText="1"/>
    </xf>
    <xf borderId="1" fillId="4" fontId="2" numFmtId="164" xfId="0" applyAlignment="1" applyBorder="1" applyFill="1" applyFont="1" applyNumberFormat="1">
      <alignment horizontal="center" shrinkToFit="0" wrapText="1"/>
    </xf>
    <xf borderId="1" fillId="5" fontId="2" numFmtId="0" xfId="0" applyAlignment="1" applyBorder="1" applyFill="1" applyFont="1">
      <alignment horizontal="center" shrinkToFit="0" wrapText="1"/>
    </xf>
    <xf borderId="1" fillId="6" fontId="3" numFmtId="165" xfId="0" applyAlignment="1" applyBorder="1" applyFill="1" applyFont="1" applyNumberFormat="1">
      <alignment horizontal="center" shrinkToFit="0" wrapText="1"/>
    </xf>
    <xf borderId="1" fillId="2" fontId="2" numFmtId="1" xfId="0" applyAlignment="1" applyBorder="1" applyFont="1" applyNumberFormat="1">
      <alignment horizontal="center" vertical="bottom"/>
    </xf>
    <xf borderId="1" fillId="7" fontId="4" numFmtId="166" xfId="0" applyAlignment="1" applyBorder="1" applyFill="1" applyFont="1" applyNumberFormat="1">
      <alignment horizontal="center" shrinkToFit="0" vertical="bottom" wrapText="1"/>
    </xf>
    <xf borderId="1" fillId="7" fontId="4" numFmtId="167" xfId="0" applyAlignment="1" applyBorder="1" applyFont="1" applyNumberFormat="1">
      <alignment horizontal="center" vertical="bottom"/>
    </xf>
    <xf borderId="2" fillId="7" fontId="4" numFmtId="166" xfId="0" applyAlignment="1" applyBorder="1" applyFont="1" applyNumberFormat="1">
      <alignment horizontal="center" shrinkToFit="0" vertical="bottom" wrapText="1"/>
    </xf>
    <xf borderId="1" fillId="8" fontId="4" numFmtId="164" xfId="0" applyAlignment="1" applyBorder="1" applyFill="1" applyFont="1" applyNumberFormat="1">
      <alignment horizontal="center" vertical="bottom"/>
    </xf>
    <xf borderId="1" fillId="9" fontId="4" numFmtId="164" xfId="0" applyAlignment="1" applyBorder="1" applyFill="1" applyFont="1" applyNumberFormat="1">
      <alignment horizontal="center" vertical="bottom"/>
    </xf>
    <xf borderId="1" fillId="10" fontId="5" numFmtId="165" xfId="0" applyAlignment="1" applyBorder="1" applyFill="1" applyFont="1" applyNumberFormat="1">
      <alignment horizontal="center" shrinkToFit="0" vertical="bottom" wrapText="1"/>
    </xf>
    <xf borderId="1" fillId="2" fontId="4" numFmtId="9" xfId="0" applyAlignment="1" applyBorder="1" applyFont="1" applyNumberFormat="1">
      <alignment horizontal="center" vertical="bottom"/>
    </xf>
    <xf borderId="3" fillId="7" fontId="4" numFmtId="166" xfId="0" applyAlignment="1" applyBorder="1" applyFont="1" applyNumberFormat="1">
      <alignment horizontal="center" shrinkToFit="0" vertical="bottom" wrapText="1"/>
    </xf>
    <xf borderId="4" fillId="7" fontId="4" numFmtId="166" xfId="0" applyAlignment="1" applyBorder="1" applyFont="1" applyNumberFormat="1">
      <alignment horizontal="center" shrinkToFit="0" vertical="bottom" wrapText="1"/>
    </xf>
    <xf borderId="0" fillId="0" fontId="6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8.5"/>
    <col customWidth="1" min="2" max="4" width="9.75"/>
    <col customWidth="1" min="5" max="7" width="11.13"/>
    <col customWidth="1" min="8" max="10" width="8.88"/>
    <col customWidth="1" min="11" max="12" width="11.0"/>
    <col customWidth="1" min="13" max="13" width="8.63"/>
  </cols>
  <sheetData>
    <row r="1" ht="29.25" customHeight="1">
      <c r="A1" s="1" t="s">
        <v>0</v>
      </c>
    </row>
    <row r="2" ht="44.2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2" t="s">
        <v>13</v>
      </c>
    </row>
    <row r="3" ht="23.25" customHeight="1">
      <c r="A3" s="7">
        <v>31.0</v>
      </c>
      <c r="B3" s="8">
        <f t="shared" ref="B3:B18" si="3">+C3-(D3-C3)</f>
        <v>215200</v>
      </c>
      <c r="C3" s="9">
        <v>331100.0</v>
      </c>
      <c r="D3" s="10">
        <f>+MROUND(C3*1.35, 100)</f>
        <v>447000</v>
      </c>
      <c r="E3" s="11">
        <f t="shared" ref="E3:G3" si="1">ROUND((B3/12),2)</f>
        <v>17933.33</v>
      </c>
      <c r="F3" s="11">
        <f t="shared" si="1"/>
        <v>27591.67</v>
      </c>
      <c r="G3" s="11">
        <f t="shared" si="1"/>
        <v>37250</v>
      </c>
      <c r="H3" s="12">
        <f t="shared" ref="H3:J3" si="2">ROUND((B3/2088),2)</f>
        <v>103.07</v>
      </c>
      <c r="I3" s="12">
        <f t="shared" si="2"/>
        <v>158.57</v>
      </c>
      <c r="J3" s="12">
        <f t="shared" si="2"/>
        <v>214.08</v>
      </c>
      <c r="K3" s="13">
        <f t="shared" ref="K3:K18" si="6">ROUND((((D3-B3)*0.25)+B3),0)</f>
        <v>273150</v>
      </c>
      <c r="L3" s="13">
        <f t="shared" ref="L3:L18" si="7">ROUND((K3/12),0)</f>
        <v>22763</v>
      </c>
      <c r="M3" s="14">
        <f t="shared" ref="M3:M18" si="8">ROUND(((D3/B3)-1),2)</f>
        <v>1.08</v>
      </c>
    </row>
    <row r="4" ht="23.25" customHeight="1">
      <c r="A4" s="7">
        <v>30.0</v>
      </c>
      <c r="B4" s="15">
        <f t="shared" si="3"/>
        <v>190300</v>
      </c>
      <c r="C4" s="9">
        <v>290600.0</v>
      </c>
      <c r="D4" s="16">
        <f>+MROUND(C4*1.345, 100)</f>
        <v>390900</v>
      </c>
      <c r="E4" s="11">
        <f t="shared" ref="E4:G4" si="4">ROUND((B4/12),2)</f>
        <v>15858.33</v>
      </c>
      <c r="F4" s="11">
        <f t="shared" si="4"/>
        <v>24216.67</v>
      </c>
      <c r="G4" s="11">
        <f t="shared" si="4"/>
        <v>32575</v>
      </c>
      <c r="H4" s="12">
        <f t="shared" ref="H4:J4" si="5">ROUND((B4/2088),2)</f>
        <v>91.14</v>
      </c>
      <c r="I4" s="12">
        <f t="shared" si="5"/>
        <v>139.18</v>
      </c>
      <c r="J4" s="12">
        <f t="shared" si="5"/>
        <v>187.21</v>
      </c>
      <c r="K4" s="13">
        <f t="shared" si="6"/>
        <v>240450</v>
      </c>
      <c r="L4" s="13">
        <f t="shared" si="7"/>
        <v>20038</v>
      </c>
      <c r="M4" s="14">
        <f t="shared" si="8"/>
        <v>1.05</v>
      </c>
    </row>
    <row r="5" ht="23.25" customHeight="1">
      <c r="A5" s="7">
        <v>29.0</v>
      </c>
      <c r="B5" s="15">
        <f t="shared" si="3"/>
        <v>168800</v>
      </c>
      <c r="C5" s="9">
        <v>255000.0</v>
      </c>
      <c r="D5" s="16">
        <f>+MROUND(C5*1.338, 100)</f>
        <v>341200</v>
      </c>
      <c r="E5" s="11">
        <f t="shared" ref="E5:G5" si="9">ROUND((B5/12),2)</f>
        <v>14066.67</v>
      </c>
      <c r="F5" s="11">
        <f t="shared" si="9"/>
        <v>21250</v>
      </c>
      <c r="G5" s="11">
        <f t="shared" si="9"/>
        <v>28433.33</v>
      </c>
      <c r="H5" s="12">
        <f t="shared" ref="H5:J5" si="10">ROUND((B5/2088),2)</f>
        <v>80.84</v>
      </c>
      <c r="I5" s="12">
        <f t="shared" si="10"/>
        <v>122.13</v>
      </c>
      <c r="J5" s="12">
        <f t="shared" si="10"/>
        <v>163.41</v>
      </c>
      <c r="K5" s="13">
        <f t="shared" si="6"/>
        <v>211900</v>
      </c>
      <c r="L5" s="13">
        <f t="shared" si="7"/>
        <v>17658</v>
      </c>
      <c r="M5" s="14">
        <f t="shared" si="8"/>
        <v>1.02</v>
      </c>
    </row>
    <row r="6" ht="23.25" customHeight="1">
      <c r="A6" s="7">
        <v>28.0</v>
      </c>
      <c r="B6" s="15">
        <f t="shared" si="3"/>
        <v>149700</v>
      </c>
      <c r="C6" s="9">
        <v>223700.0</v>
      </c>
      <c r="D6" s="16">
        <f>+MROUND(C6*1.331, 100)</f>
        <v>297700</v>
      </c>
      <c r="E6" s="11">
        <f t="shared" ref="E6:G6" si="11">ROUND((B6/12),2)</f>
        <v>12475</v>
      </c>
      <c r="F6" s="11">
        <f t="shared" si="11"/>
        <v>18641.67</v>
      </c>
      <c r="G6" s="11">
        <f t="shared" si="11"/>
        <v>24808.33</v>
      </c>
      <c r="H6" s="12">
        <f t="shared" ref="H6:J6" si="12">ROUND((B6/2088),2)</f>
        <v>71.7</v>
      </c>
      <c r="I6" s="12">
        <f t="shared" si="12"/>
        <v>107.14</v>
      </c>
      <c r="J6" s="12">
        <f t="shared" si="12"/>
        <v>142.58</v>
      </c>
      <c r="K6" s="13">
        <f t="shared" si="6"/>
        <v>186700</v>
      </c>
      <c r="L6" s="13">
        <f t="shared" si="7"/>
        <v>15558</v>
      </c>
      <c r="M6" s="14">
        <f t="shared" si="8"/>
        <v>0.99</v>
      </c>
    </row>
    <row r="7" ht="23.25" customHeight="1">
      <c r="A7" s="7">
        <v>27.0</v>
      </c>
      <c r="B7" s="15">
        <f t="shared" si="3"/>
        <v>132600</v>
      </c>
      <c r="C7" s="9">
        <v>196200.0</v>
      </c>
      <c r="D7" s="16">
        <f>+MROUND(C7*1.3241, 100)</f>
        <v>259800</v>
      </c>
      <c r="E7" s="11">
        <f t="shared" ref="E7:G7" si="13">ROUND((B7/12),2)</f>
        <v>11050</v>
      </c>
      <c r="F7" s="11">
        <f t="shared" si="13"/>
        <v>16350</v>
      </c>
      <c r="G7" s="11">
        <f t="shared" si="13"/>
        <v>21650</v>
      </c>
      <c r="H7" s="12">
        <f t="shared" ref="H7:J7" si="14">ROUND((B7/2088),2)</f>
        <v>63.51</v>
      </c>
      <c r="I7" s="12">
        <f t="shared" si="14"/>
        <v>93.97</v>
      </c>
      <c r="J7" s="12">
        <f t="shared" si="14"/>
        <v>124.43</v>
      </c>
      <c r="K7" s="13">
        <f t="shared" si="6"/>
        <v>164400</v>
      </c>
      <c r="L7" s="13">
        <f t="shared" si="7"/>
        <v>13700</v>
      </c>
      <c r="M7" s="14">
        <f t="shared" si="8"/>
        <v>0.96</v>
      </c>
    </row>
    <row r="8" ht="23.25" customHeight="1">
      <c r="A8" s="7">
        <v>26.0</v>
      </c>
      <c r="B8" s="15">
        <f t="shared" si="3"/>
        <v>119400</v>
      </c>
      <c r="C8" s="9">
        <v>175100.0</v>
      </c>
      <c r="D8" s="16">
        <f>+MROUND(C8*1.318, 100)</f>
        <v>230800</v>
      </c>
      <c r="E8" s="11">
        <f t="shared" ref="E8:G8" si="15">ROUND((B8/12),2)</f>
        <v>9950</v>
      </c>
      <c r="F8" s="11">
        <f t="shared" si="15"/>
        <v>14591.67</v>
      </c>
      <c r="G8" s="11">
        <f t="shared" si="15"/>
        <v>19233.33</v>
      </c>
      <c r="H8" s="12">
        <f t="shared" ref="H8:J8" si="16">ROUND((B8/2088),2)</f>
        <v>57.18</v>
      </c>
      <c r="I8" s="12">
        <f t="shared" si="16"/>
        <v>83.86</v>
      </c>
      <c r="J8" s="12">
        <f t="shared" si="16"/>
        <v>110.54</v>
      </c>
      <c r="K8" s="13">
        <f t="shared" si="6"/>
        <v>147250</v>
      </c>
      <c r="L8" s="13">
        <f t="shared" si="7"/>
        <v>12271</v>
      </c>
      <c r="M8" s="14">
        <f t="shared" si="8"/>
        <v>0.93</v>
      </c>
    </row>
    <row r="9" ht="23.25" customHeight="1">
      <c r="A9" s="7">
        <v>25.0</v>
      </c>
      <c r="B9" s="15">
        <f t="shared" si="3"/>
        <v>108100</v>
      </c>
      <c r="C9" s="9">
        <v>156500.0</v>
      </c>
      <c r="D9" s="16">
        <f>+MROUND(C9*1.3092, 100)</f>
        <v>204900</v>
      </c>
      <c r="E9" s="11">
        <f t="shared" ref="E9:G9" si="17">ROUND((B9/12),2)</f>
        <v>9008.33</v>
      </c>
      <c r="F9" s="11">
        <f t="shared" si="17"/>
        <v>13041.67</v>
      </c>
      <c r="G9" s="11">
        <f t="shared" si="17"/>
        <v>17075</v>
      </c>
      <c r="H9" s="12">
        <f t="shared" ref="H9:J9" si="18">ROUND((B9/2088),2)</f>
        <v>51.77</v>
      </c>
      <c r="I9" s="12">
        <f t="shared" si="18"/>
        <v>74.95</v>
      </c>
      <c r="J9" s="12">
        <f t="shared" si="18"/>
        <v>98.13</v>
      </c>
      <c r="K9" s="13">
        <f t="shared" si="6"/>
        <v>132300</v>
      </c>
      <c r="L9" s="13">
        <f t="shared" si="7"/>
        <v>11025</v>
      </c>
      <c r="M9" s="14">
        <f t="shared" si="8"/>
        <v>0.9</v>
      </c>
    </row>
    <row r="10" ht="23.25" customHeight="1">
      <c r="A10" s="7">
        <v>24.0</v>
      </c>
      <c r="B10" s="15">
        <f t="shared" si="3"/>
        <v>97200</v>
      </c>
      <c r="C10" s="9">
        <v>139600.0</v>
      </c>
      <c r="D10" s="16">
        <f>+MROUND(C10*1.304, 100)</f>
        <v>182000</v>
      </c>
      <c r="E10" s="11">
        <f t="shared" ref="E10:G10" si="19">ROUND((B10/12),2)</f>
        <v>8100</v>
      </c>
      <c r="F10" s="11">
        <f t="shared" si="19"/>
        <v>11633.33</v>
      </c>
      <c r="G10" s="11">
        <f t="shared" si="19"/>
        <v>15166.67</v>
      </c>
      <c r="H10" s="12">
        <f t="shared" ref="H10:J10" si="20">ROUND((B10/2088),2)</f>
        <v>46.55</v>
      </c>
      <c r="I10" s="12">
        <f t="shared" si="20"/>
        <v>66.86</v>
      </c>
      <c r="J10" s="12">
        <f t="shared" si="20"/>
        <v>87.16</v>
      </c>
      <c r="K10" s="13">
        <f t="shared" si="6"/>
        <v>118400</v>
      </c>
      <c r="L10" s="13">
        <f t="shared" si="7"/>
        <v>9867</v>
      </c>
      <c r="M10" s="14">
        <f t="shared" si="8"/>
        <v>0.87</v>
      </c>
    </row>
    <row r="11" ht="23.25" customHeight="1">
      <c r="A11" s="7">
        <v>23.0</v>
      </c>
      <c r="B11" s="15">
        <f t="shared" si="3"/>
        <v>88000</v>
      </c>
      <c r="C11" s="9">
        <v>124800.0</v>
      </c>
      <c r="D11" s="16">
        <f>+MROUND(C11*1.295, 100)</f>
        <v>161600</v>
      </c>
      <c r="E11" s="11">
        <f t="shared" ref="E11:G11" si="21">ROUND((B11/12),2)</f>
        <v>7333.33</v>
      </c>
      <c r="F11" s="11">
        <f t="shared" si="21"/>
        <v>10400</v>
      </c>
      <c r="G11" s="11">
        <f t="shared" si="21"/>
        <v>13466.67</v>
      </c>
      <c r="H11" s="12">
        <f t="shared" ref="H11:J11" si="22">ROUND((B11/2088),2)</f>
        <v>42.15</v>
      </c>
      <c r="I11" s="12">
        <f t="shared" si="22"/>
        <v>59.77</v>
      </c>
      <c r="J11" s="12">
        <f t="shared" si="22"/>
        <v>77.39</v>
      </c>
      <c r="K11" s="13">
        <f t="shared" si="6"/>
        <v>106400</v>
      </c>
      <c r="L11" s="13">
        <f t="shared" si="7"/>
        <v>8867</v>
      </c>
      <c r="M11" s="14">
        <f t="shared" si="8"/>
        <v>0.84</v>
      </c>
    </row>
    <row r="12" ht="23.25" customHeight="1">
      <c r="A12" s="7">
        <v>22.0</v>
      </c>
      <c r="B12" s="15">
        <f t="shared" si="3"/>
        <v>79200</v>
      </c>
      <c r="C12" s="9">
        <v>111300.0</v>
      </c>
      <c r="D12" s="16">
        <f>+MROUND(C12*1.288, 100)</f>
        <v>143400</v>
      </c>
      <c r="E12" s="11">
        <f t="shared" ref="E12:G12" si="23">ROUND((B12/12),2)</f>
        <v>6600</v>
      </c>
      <c r="F12" s="11">
        <f t="shared" si="23"/>
        <v>9275</v>
      </c>
      <c r="G12" s="11">
        <f t="shared" si="23"/>
        <v>11950</v>
      </c>
      <c r="H12" s="12">
        <f t="shared" ref="H12:J12" si="24">ROUND((B12/2088),2)</f>
        <v>37.93</v>
      </c>
      <c r="I12" s="12">
        <f t="shared" si="24"/>
        <v>53.3</v>
      </c>
      <c r="J12" s="12">
        <f t="shared" si="24"/>
        <v>68.68</v>
      </c>
      <c r="K12" s="13">
        <f t="shared" si="6"/>
        <v>95250</v>
      </c>
      <c r="L12" s="13">
        <f t="shared" si="7"/>
        <v>7938</v>
      </c>
      <c r="M12" s="14">
        <f t="shared" si="8"/>
        <v>0.81</v>
      </c>
    </row>
    <row r="13" ht="23.25" customHeight="1">
      <c r="A13" s="7">
        <v>21.0</v>
      </c>
      <c r="B13" s="15">
        <f t="shared" si="3"/>
        <v>71600</v>
      </c>
      <c r="C13" s="9">
        <v>99500.0</v>
      </c>
      <c r="D13" s="16">
        <f>+MROUND(C13*1.28, 100)</f>
        <v>127400</v>
      </c>
      <c r="E13" s="11">
        <f t="shared" ref="E13:G13" si="25">ROUND((B13/12),2)</f>
        <v>5966.67</v>
      </c>
      <c r="F13" s="11">
        <f t="shared" si="25"/>
        <v>8291.67</v>
      </c>
      <c r="G13" s="11">
        <f t="shared" si="25"/>
        <v>10616.67</v>
      </c>
      <c r="H13" s="12">
        <f t="shared" ref="H13:J13" si="26">ROUND((B13/2088),2)</f>
        <v>34.29</v>
      </c>
      <c r="I13" s="12">
        <f t="shared" si="26"/>
        <v>47.65</v>
      </c>
      <c r="J13" s="12">
        <f t="shared" si="26"/>
        <v>61.02</v>
      </c>
      <c r="K13" s="13">
        <f t="shared" si="6"/>
        <v>85550</v>
      </c>
      <c r="L13" s="13">
        <f t="shared" si="7"/>
        <v>7129</v>
      </c>
      <c r="M13" s="14">
        <f t="shared" si="8"/>
        <v>0.78</v>
      </c>
    </row>
    <row r="14" ht="23.25" customHeight="1">
      <c r="A14" s="7">
        <v>20.0</v>
      </c>
      <c r="B14" s="15">
        <f t="shared" si="3"/>
        <v>65700</v>
      </c>
      <c r="C14" s="9">
        <v>90400.0</v>
      </c>
      <c r="D14" s="16">
        <f>+MROUND(C14*1.273, 100)</f>
        <v>115100</v>
      </c>
      <c r="E14" s="11">
        <f t="shared" ref="E14:G14" si="27">ROUND((B14/12),2)</f>
        <v>5475</v>
      </c>
      <c r="F14" s="11">
        <f t="shared" si="27"/>
        <v>7533.33</v>
      </c>
      <c r="G14" s="11">
        <f t="shared" si="27"/>
        <v>9591.67</v>
      </c>
      <c r="H14" s="12">
        <f t="shared" ref="H14:J14" si="28">ROUND((B14/2088),2)</f>
        <v>31.47</v>
      </c>
      <c r="I14" s="12">
        <f t="shared" si="28"/>
        <v>43.3</v>
      </c>
      <c r="J14" s="12">
        <f t="shared" si="28"/>
        <v>55.12</v>
      </c>
      <c r="K14" s="13">
        <f t="shared" si="6"/>
        <v>78050</v>
      </c>
      <c r="L14" s="13">
        <f t="shared" si="7"/>
        <v>6504</v>
      </c>
      <c r="M14" s="14">
        <f t="shared" si="8"/>
        <v>0.75</v>
      </c>
    </row>
    <row r="15" ht="23.25" customHeight="1">
      <c r="A15" s="7">
        <v>19.0</v>
      </c>
      <c r="B15" s="15">
        <f t="shared" si="3"/>
        <v>60300</v>
      </c>
      <c r="C15" s="9">
        <v>82100.0</v>
      </c>
      <c r="D15" s="16">
        <f>+MROUND(C15*1.265, 100)</f>
        <v>103900</v>
      </c>
      <c r="E15" s="11">
        <f t="shared" ref="E15:G15" si="29">ROUND((B15/12),2)</f>
        <v>5025</v>
      </c>
      <c r="F15" s="11">
        <f t="shared" si="29"/>
        <v>6841.67</v>
      </c>
      <c r="G15" s="11">
        <f t="shared" si="29"/>
        <v>8658.33</v>
      </c>
      <c r="H15" s="12">
        <f t="shared" ref="H15:J15" si="30">ROUND((B15/2088),2)</f>
        <v>28.88</v>
      </c>
      <c r="I15" s="12">
        <f t="shared" si="30"/>
        <v>39.32</v>
      </c>
      <c r="J15" s="12">
        <f t="shared" si="30"/>
        <v>49.76</v>
      </c>
      <c r="K15" s="13">
        <f t="shared" si="6"/>
        <v>71200</v>
      </c>
      <c r="L15" s="13">
        <f t="shared" si="7"/>
        <v>5933</v>
      </c>
      <c r="M15" s="14">
        <f t="shared" si="8"/>
        <v>0.72</v>
      </c>
    </row>
    <row r="16" ht="23.25" customHeight="1">
      <c r="A16" s="7">
        <v>18.0</v>
      </c>
      <c r="B16" s="15">
        <f t="shared" si="3"/>
        <v>55400</v>
      </c>
      <c r="C16" s="9">
        <v>74600.0</v>
      </c>
      <c r="D16" s="16">
        <f>+MROUND(C16*1.257, 100)</f>
        <v>93800</v>
      </c>
      <c r="E16" s="11">
        <f t="shared" ref="E16:G16" si="31">ROUND((B16/12),2)</f>
        <v>4616.67</v>
      </c>
      <c r="F16" s="11">
        <f t="shared" si="31"/>
        <v>6216.67</v>
      </c>
      <c r="G16" s="11">
        <f t="shared" si="31"/>
        <v>7816.67</v>
      </c>
      <c r="H16" s="12">
        <f t="shared" ref="H16:J16" si="32">ROUND((B16/2088),2)</f>
        <v>26.53</v>
      </c>
      <c r="I16" s="12">
        <f t="shared" si="32"/>
        <v>35.73</v>
      </c>
      <c r="J16" s="12">
        <f t="shared" si="32"/>
        <v>44.92</v>
      </c>
      <c r="K16" s="13">
        <f t="shared" si="6"/>
        <v>65000</v>
      </c>
      <c r="L16" s="13">
        <f t="shared" si="7"/>
        <v>5417</v>
      </c>
      <c r="M16" s="14">
        <f t="shared" si="8"/>
        <v>0.69</v>
      </c>
    </row>
    <row r="17" ht="23.25" customHeight="1">
      <c r="A17" s="7">
        <v>17.0</v>
      </c>
      <c r="B17" s="15">
        <f t="shared" si="3"/>
        <v>51000</v>
      </c>
      <c r="C17" s="9">
        <v>67900.0</v>
      </c>
      <c r="D17" s="16">
        <f>+MROUND(C17*1.249, 100)</f>
        <v>84800</v>
      </c>
      <c r="E17" s="11">
        <f t="shared" ref="E17:G17" si="33">ROUND((B17/12),2)</f>
        <v>4250</v>
      </c>
      <c r="F17" s="11">
        <f t="shared" si="33"/>
        <v>5658.33</v>
      </c>
      <c r="G17" s="11">
        <f t="shared" si="33"/>
        <v>7066.67</v>
      </c>
      <c r="H17" s="12">
        <f t="shared" ref="H17:J17" si="34">ROUND((B17/2088),2)</f>
        <v>24.43</v>
      </c>
      <c r="I17" s="12">
        <f t="shared" si="34"/>
        <v>32.52</v>
      </c>
      <c r="J17" s="12">
        <f t="shared" si="34"/>
        <v>40.61</v>
      </c>
      <c r="K17" s="13">
        <f t="shared" si="6"/>
        <v>59450</v>
      </c>
      <c r="L17" s="13">
        <f t="shared" si="7"/>
        <v>4954</v>
      </c>
      <c r="M17" s="14">
        <f t="shared" si="8"/>
        <v>0.66</v>
      </c>
    </row>
    <row r="18" ht="23.25" customHeight="1">
      <c r="A18" s="7">
        <v>16.0</v>
      </c>
      <c r="B18" s="15">
        <f t="shared" si="3"/>
        <v>46800</v>
      </c>
      <c r="C18" s="9">
        <v>61600.0</v>
      </c>
      <c r="D18" s="16">
        <f>+MROUND(C18*1.241, 100)</f>
        <v>76400</v>
      </c>
      <c r="E18" s="11">
        <f t="shared" ref="E18:G18" si="35">ROUND((B18/12),2)</f>
        <v>3900</v>
      </c>
      <c r="F18" s="11">
        <f t="shared" si="35"/>
        <v>5133.33</v>
      </c>
      <c r="G18" s="11">
        <f t="shared" si="35"/>
        <v>6366.67</v>
      </c>
      <c r="H18" s="12">
        <f t="shared" ref="H18:J18" si="36">ROUND((B18/2088),2)</f>
        <v>22.41</v>
      </c>
      <c r="I18" s="12">
        <f t="shared" si="36"/>
        <v>29.5</v>
      </c>
      <c r="J18" s="12">
        <f t="shared" si="36"/>
        <v>36.59</v>
      </c>
      <c r="K18" s="13">
        <f t="shared" si="6"/>
        <v>54200</v>
      </c>
      <c r="L18" s="13">
        <f t="shared" si="7"/>
        <v>4517</v>
      </c>
      <c r="M18" s="14">
        <f t="shared" si="8"/>
        <v>0.63</v>
      </c>
    </row>
    <row r="19" ht="18.0" customHeight="1">
      <c r="A19" s="17" t="s">
        <v>14</v>
      </c>
      <c r="B19" s="18"/>
      <c r="C19" s="18"/>
      <c r="D19" s="18"/>
      <c r="E19" s="19"/>
      <c r="F19" s="19"/>
      <c r="G19" s="19"/>
      <c r="H19" s="18"/>
      <c r="I19" s="18"/>
      <c r="J19" s="18"/>
      <c r="K19" s="18"/>
      <c r="L19" s="18"/>
      <c r="M19" s="18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1" t="s">
        <v>15</v>
      </c>
      <c r="B20" s="18"/>
      <c r="C20" s="18"/>
      <c r="D20" s="18"/>
      <c r="E20" s="19"/>
      <c r="F20" s="19"/>
      <c r="G20" s="19"/>
      <c r="H20" s="18"/>
      <c r="I20" s="18"/>
      <c r="J20" s="18"/>
      <c r="K20" s="18"/>
      <c r="L20" s="18"/>
      <c r="M20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M1"/>
  </mergeCells>
  <printOptions horizontalCentered="1"/>
  <pageMargins bottom="0.0" footer="0.0" header="0.0" left="0.0" right="0.0" top="0.5"/>
  <pageSetup fitToHeight="0" orientation="landscape" pageOrder="overThenDown"/>
  <drawing r:id="rId1"/>
</worksheet>
</file>